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<sst xmlns="http://schemas.openxmlformats.org/spreadsheetml/2006/main" count="90" uniqueCount="56">
  <si>
    <t>Site</t>
  </si>
  <si>
    <t>Site latitude</t>
  </si>
  <si>
    <r>
      <t>l</t>
    </r>
    <r>
      <rPr>
        <b/>
        <i/>
        <sz val="10"/>
        <rFont val="Arial"/>
        <family val="2"/>
      </rPr>
      <t>s</t>
    </r>
  </si>
  <si>
    <t>Site longitude</t>
  </si>
  <si>
    <r>
      <t>f</t>
    </r>
    <r>
      <rPr>
        <b/>
        <i/>
        <sz val="10"/>
        <rFont val="Arial"/>
        <family val="2"/>
      </rPr>
      <t>s</t>
    </r>
  </si>
  <si>
    <t>Number of measurements</t>
  </si>
  <si>
    <t>N</t>
  </si>
  <si>
    <t>Measured declination</t>
  </si>
  <si>
    <t>Di</t>
  </si>
  <si>
    <t>Measured inclination</t>
  </si>
  <si>
    <t>Ii</t>
  </si>
  <si>
    <t>Polarity</t>
  </si>
  <si>
    <t>D</t>
  </si>
  <si>
    <t>I</t>
  </si>
  <si>
    <t>Direction with respect to north</t>
  </si>
  <si>
    <t>Li</t>
  </si>
  <si>
    <t>Direction with respect to east</t>
  </si>
  <si>
    <t>Mi</t>
  </si>
  <si>
    <t>Direction with respect to down</t>
  </si>
  <si>
    <t>Ni</t>
  </si>
  <si>
    <t>Length of the resultant vector</t>
  </si>
  <si>
    <t>R</t>
  </si>
  <si>
    <t>Mean direction with respect to north</t>
  </si>
  <si>
    <t>L</t>
  </si>
  <si>
    <t xml:space="preserve">Decl </t>
  </si>
  <si>
    <t>Incl</t>
  </si>
  <si>
    <t>k</t>
  </si>
  <si>
    <t>alfa95</t>
  </si>
  <si>
    <t>Plat</t>
  </si>
  <si>
    <t>Plon</t>
  </si>
  <si>
    <t>dp</t>
  </si>
  <si>
    <t>dm</t>
  </si>
  <si>
    <t>Mean direction with respect to east</t>
  </si>
  <si>
    <t>M</t>
  </si>
  <si>
    <t>Mean direction with respect to down</t>
  </si>
  <si>
    <t>Declination of the mean direction</t>
  </si>
  <si>
    <t>Dm</t>
  </si>
  <si>
    <t>Inclination of the mean direction</t>
  </si>
  <si>
    <t>Im</t>
  </si>
  <si>
    <t>Fisher's concentration parameter</t>
  </si>
  <si>
    <t>The radius of a cone of 95% confidence about the mean</t>
  </si>
  <si>
    <r>
      <t>a</t>
    </r>
    <r>
      <rPr>
        <b/>
        <i/>
        <sz val="10"/>
        <rFont val="Arial"/>
        <family val="2"/>
      </rPr>
      <t>95</t>
    </r>
  </si>
  <si>
    <t>The magnetic colatitude</t>
  </si>
  <si>
    <t>p</t>
  </si>
  <si>
    <t>Pole latitude (degrees)</t>
  </si>
  <si>
    <t>b</t>
  </si>
  <si>
    <t>Pole longitude (degrees)</t>
  </si>
  <si>
    <t>Semiaxes of an oval of 95% confidence of the pole</t>
  </si>
  <si>
    <t>Site/Specimen</t>
  </si>
  <si>
    <t>Inverted (if needed) inclination</t>
  </si>
  <si>
    <t>Inverted (if needed) declination</t>
  </si>
  <si>
    <t>Magnetic colatitude</t>
  </si>
  <si>
    <t>sin Plat (radians)</t>
  </si>
  <si>
    <t>1st IF</t>
  </si>
  <si>
    <t>2nd IF</t>
  </si>
  <si>
    <t>sin B (radians)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</si>
</sst>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kr&quot;;\-#,##0\ &quot;kr&quot;"/>
    <numFmt numFmtId="179" formatCode="#,##0\ &quot;kr&quot;;[Red]\-#,##0\ &quot;kr&quot;"/>
    <numFmt numFmtId="180" formatCode="#,##0.00\ &quot;kr&quot;;\-#,##0.00\ &quot;kr&quot;"/>
    <numFmt numFmtId="181" formatCode="#,##0.00\ &quot;kr&quot;;[Red]\-#,##0.00\ &quot;kr&quot;"/>
    <numFmt numFmtId="182" formatCode="_-* #,##0\ &quot;kr&quot;_-;\-* #,##0\ &quot;kr&quot;_-;_-* &quot;-&quot;\ &quot;kr&quot;_-;_-@_-"/>
    <numFmt numFmtId="183" formatCode="_-* #,##0\ _k_r_-;\-* #,##0\ _k_r_-;_-* &quot;-&quot;\ _k_r_-;_-@_-"/>
    <numFmt numFmtId="184" formatCode="_-* #,##0.00\ &quot;kr&quot;_-;\-* #,##0.00\ &quot;kr&quot;_-;_-* &quot;-&quot;??\ &quot;kr&quot;_-;_-@_-"/>
    <numFmt numFmtId="185" formatCode="_-* #,##0.00\ _k_r_-;\-* #,##0.00\ _k_r_-;_-* &quot;-&quot;??\ _k_r_-;_-@_-"/>
    <numFmt numFmtId="186" formatCode="0.0"/>
    <numFmt numFmtId="187" formatCode="#,##0.0\ &quot;kr&quot;"/>
    <numFmt numFmtId="188" formatCode="#,##0.0"/>
    <numFmt numFmtId="189" formatCode="0.000"/>
  </numFmts>
  <fonts count="18">
    <font>
      <sz val="10"/>
      <name val="Arial"/>
      <family val="0"/>
    </font>
    <font>
      <b/>
      <i/>
      <sz val="10"/>
      <name val="Arial"/>
      <family val="0"/>
    </font>
    <font>
      <b/>
      <sz val="10"/>
      <name val="Arial"/>
      <family val="2"/>
    </font>
    <font>
      <b/>
      <i/>
      <sz val="10"/>
      <name val="Symbol"/>
      <family val="1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0"/>
      <color indexed="10"/>
      <name val="Arial"/>
      <family val="2"/>
    </font>
    <font>
      <b/>
      <i/>
      <u val="double"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7"/>
      <name val="Arial"/>
      <family val="2"/>
    </font>
    <font>
      <sz val="8"/>
      <name val="Arial"/>
      <family val="2"/>
    </font>
    <font>
      <sz val="10"/>
      <color indexed="4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86" fontId="4" fillId="0" borderId="0" xfId="0" applyNumberFormat="1" applyFont="1" applyFill="1" applyBorder="1" applyAlignment="1">
      <alignment/>
    </xf>
    <xf numFmtId="186" fontId="4" fillId="0" borderId="0" xfId="0" applyNumberFormat="1" applyFont="1" applyFill="1" applyBorder="1" applyAlignment="1">
      <alignment horizontal="center"/>
    </xf>
    <xf numFmtId="186" fontId="5" fillId="0" borderId="0" xfId="0" applyNumberFormat="1" applyFont="1" applyFill="1" applyBorder="1" applyAlignment="1">
      <alignment horizontal="center"/>
    </xf>
    <xf numFmtId="186" fontId="0" fillId="0" borderId="0" xfId="0" applyNumberFormat="1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2" fillId="0" borderId="0" xfId="0" applyNumberFormat="1" applyFont="1" applyAlignment="1">
      <alignment/>
    </xf>
    <xf numFmtId="186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186" fontId="0" fillId="0" borderId="0" xfId="0" applyNumberFormat="1" applyAlignment="1">
      <alignment horizontal="center"/>
    </xf>
    <xf numFmtId="186" fontId="0" fillId="0" borderId="0" xfId="0" applyNumberFormat="1" applyFont="1" applyAlignment="1">
      <alignment horizontal="center"/>
    </xf>
    <xf numFmtId="186" fontId="6" fillId="0" borderId="0" xfId="0" applyNumberFormat="1" applyFont="1" applyFill="1" applyBorder="1" applyAlignment="1">
      <alignment horizontal="center"/>
    </xf>
    <xf numFmtId="186" fontId="0" fillId="0" borderId="0" xfId="0" applyNumberFormat="1" applyFont="1" applyFill="1" applyBorder="1" applyAlignment="1">
      <alignment horizontal="center"/>
    </xf>
    <xf numFmtId="186" fontId="1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186" fontId="9" fillId="0" borderId="0" xfId="0" applyNumberFormat="1" applyFont="1" applyFill="1" applyBorder="1" applyAlignment="1">
      <alignment horizontal="center"/>
    </xf>
    <xf numFmtId="186" fontId="2" fillId="0" borderId="0" xfId="0" applyNumberFormat="1" applyFont="1" applyAlignment="1">
      <alignment/>
    </xf>
    <xf numFmtId="49" fontId="0" fillId="0" borderId="0" xfId="0" applyNumberFormat="1" applyFont="1" applyFill="1" applyBorder="1" applyAlignment="1">
      <alignment/>
    </xf>
    <xf numFmtId="186" fontId="10" fillId="0" borderId="0" xfId="0" applyNumberFormat="1" applyFont="1" applyFill="1" applyBorder="1" applyAlignment="1">
      <alignment horizontal="center"/>
    </xf>
    <xf numFmtId="187" fontId="3" fillId="0" borderId="0" xfId="0" applyNumberFormat="1" applyFont="1" applyAlignment="1">
      <alignment horizontal="center"/>
    </xf>
    <xf numFmtId="188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186" fontId="1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186" fontId="2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89" fontId="13" fillId="0" borderId="0" xfId="0" applyNumberFormat="1" applyFont="1" applyAlignment="1">
      <alignment horizontal="center"/>
    </xf>
    <xf numFmtId="186" fontId="7" fillId="0" borderId="0" xfId="0" applyNumberFormat="1" applyFont="1" applyBorder="1" applyAlignment="1">
      <alignment/>
    </xf>
    <xf numFmtId="186" fontId="7" fillId="0" borderId="0" xfId="0" applyNumberFormat="1" applyFont="1" applyBorder="1" applyAlignment="1">
      <alignment horizontal="center"/>
    </xf>
    <xf numFmtId="186" fontId="15" fillId="0" borderId="0" xfId="0" applyNumberFormat="1" applyFont="1" applyBorder="1" applyAlignment="1">
      <alignment/>
    </xf>
    <xf numFmtId="186" fontId="15" fillId="0" borderId="0" xfId="0" applyNumberFormat="1" applyFont="1" applyAlignment="1">
      <alignment/>
    </xf>
    <xf numFmtId="186" fontId="16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186" fontId="15" fillId="3" borderId="0" xfId="0" applyNumberFormat="1" applyFont="1" applyFill="1" applyAlignment="1">
      <alignment/>
    </xf>
    <xf numFmtId="189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186" fontId="2" fillId="3" borderId="0" xfId="0" applyNumberFormat="1" applyFont="1" applyFill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38"/>
  <sheetViews>
    <sheetView tabSelected="1" workbookViewId="0" topLeftCell="A4">
      <selection activeCell="G28" sqref="G28"/>
    </sheetView>
  </sheetViews>
  <sheetFormatPr defaultColWidth="9.140625" defaultRowHeight="12.75"/>
  <cols>
    <col min="1" max="1" width="47.57421875" style="0" customWidth="1"/>
    <col min="2" max="2" width="6.57421875" style="0" customWidth="1"/>
  </cols>
  <sheetData>
    <row r="1" spans="1:91" ht="12.75">
      <c r="A1" t="s">
        <v>0</v>
      </c>
      <c r="B1" s="1" t="s">
        <v>48</v>
      </c>
      <c r="C1" s="2"/>
      <c r="D1" s="3"/>
      <c r="E1" s="3"/>
      <c r="F1" s="3"/>
      <c r="G1" s="3"/>
      <c r="H1" s="3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</row>
    <row r="2" spans="1:91" ht="12.75">
      <c r="A2" t="s">
        <v>1</v>
      </c>
      <c r="B2" s="4" t="s">
        <v>2</v>
      </c>
      <c r="C2" s="2">
        <v>59.5</v>
      </c>
      <c r="D2" s="3"/>
      <c r="E2" s="3"/>
      <c r="F2" s="3"/>
      <c r="G2" s="3"/>
      <c r="H2" s="3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</row>
    <row r="3" spans="1:91" ht="13.5" thickBot="1">
      <c r="A3" t="s">
        <v>3</v>
      </c>
      <c r="B3" s="4" t="s">
        <v>4</v>
      </c>
      <c r="C3" s="2">
        <v>138</v>
      </c>
      <c r="D3" s="3"/>
      <c r="E3" s="3"/>
      <c r="F3" s="3"/>
      <c r="G3" s="3"/>
      <c r="H3" s="3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</row>
    <row r="4" spans="1:91" ht="13.5" thickBot="1">
      <c r="A4" t="s">
        <v>5</v>
      </c>
      <c r="B4" s="5" t="s">
        <v>6</v>
      </c>
      <c r="C4" s="6">
        <v>1</v>
      </c>
      <c r="D4" s="3">
        <v>1</v>
      </c>
      <c r="E4" s="3">
        <v>2</v>
      </c>
      <c r="F4" s="7">
        <v>3</v>
      </c>
      <c r="G4" s="7">
        <v>4</v>
      </c>
      <c r="H4" s="7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>
        <f>Z4+1</f>
        <v>24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</row>
    <row r="5" spans="1:91" ht="12.75">
      <c r="A5" t="s">
        <v>7</v>
      </c>
      <c r="B5" s="8" t="s">
        <v>8</v>
      </c>
      <c r="C5" s="2"/>
      <c r="D5" s="9"/>
      <c r="E5" s="9"/>
      <c r="F5" s="9"/>
      <c r="G5" s="9"/>
      <c r="H5" s="9"/>
      <c r="I5" s="9"/>
      <c r="J5" s="9"/>
      <c r="K5" s="10"/>
      <c r="L5" s="11"/>
      <c r="M5" s="10"/>
      <c r="N5" s="10"/>
      <c r="O5" s="10"/>
      <c r="P5" s="10"/>
      <c r="Q5" s="9"/>
      <c r="R5" s="9"/>
      <c r="S5" s="9"/>
      <c r="T5" s="9"/>
      <c r="U5" s="9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</row>
    <row r="6" spans="1:91" ht="12.75">
      <c r="A6" t="s">
        <v>9</v>
      </c>
      <c r="B6" s="8" t="s">
        <v>10</v>
      </c>
      <c r="C6" s="2"/>
      <c r="D6" s="9"/>
      <c r="E6" s="9"/>
      <c r="F6" s="9"/>
      <c r="G6" s="9"/>
      <c r="H6" s="9"/>
      <c r="I6" s="9"/>
      <c r="J6" s="9"/>
      <c r="K6" s="10"/>
      <c r="L6" s="11"/>
      <c r="M6" s="10"/>
      <c r="N6" s="10"/>
      <c r="O6" s="10"/>
      <c r="P6" s="10"/>
      <c r="Q6" s="9"/>
      <c r="R6" s="9"/>
      <c r="S6" s="9"/>
      <c r="T6" s="9"/>
      <c r="U6" s="9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</row>
    <row r="7" spans="1:91" ht="12.75">
      <c r="A7" t="s">
        <v>11</v>
      </c>
      <c r="B7" s="8"/>
      <c r="C7" s="2"/>
      <c r="D7" s="13" t="s">
        <v>21</v>
      </c>
      <c r="E7" s="13" t="s">
        <v>21</v>
      </c>
      <c r="F7" s="13" t="s">
        <v>21</v>
      </c>
      <c r="G7" s="13" t="s">
        <v>21</v>
      </c>
      <c r="H7" s="13" t="s">
        <v>21</v>
      </c>
      <c r="I7" s="13" t="s">
        <v>21</v>
      </c>
      <c r="J7" s="13" t="s">
        <v>21</v>
      </c>
      <c r="K7" s="13" t="s">
        <v>21</v>
      </c>
      <c r="L7" s="13" t="s">
        <v>21</v>
      </c>
      <c r="M7" s="13" t="s">
        <v>21</v>
      </c>
      <c r="N7" s="13" t="s">
        <v>21</v>
      </c>
      <c r="O7" s="13" t="s">
        <v>21</v>
      </c>
      <c r="P7" s="13" t="s">
        <v>21</v>
      </c>
      <c r="Q7" s="13" t="s">
        <v>21</v>
      </c>
      <c r="R7" s="13" t="s">
        <v>21</v>
      </c>
      <c r="S7" s="13" t="s">
        <v>21</v>
      </c>
      <c r="T7" s="13" t="s">
        <v>21</v>
      </c>
      <c r="U7" s="13" t="s">
        <v>21</v>
      </c>
      <c r="V7" s="13" t="s">
        <v>21</v>
      </c>
      <c r="W7" s="13" t="s">
        <v>21</v>
      </c>
      <c r="X7" s="13" t="s">
        <v>21</v>
      </c>
      <c r="Y7" s="13" t="s">
        <v>21</v>
      </c>
      <c r="Z7" s="13" t="s">
        <v>21</v>
      </c>
      <c r="AA7" s="13" t="s">
        <v>21</v>
      </c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</row>
    <row r="8" spans="1:91" ht="12.75">
      <c r="A8" t="s">
        <v>50</v>
      </c>
      <c r="B8" s="5" t="s">
        <v>12</v>
      </c>
      <c r="C8" s="2"/>
      <c r="D8" s="18">
        <v>275.5</v>
      </c>
      <c r="E8" s="18"/>
      <c r="F8" s="56"/>
      <c r="G8" s="56"/>
      <c r="H8" s="56"/>
      <c r="I8" s="56"/>
      <c r="J8" s="9"/>
      <c r="K8" s="10"/>
      <c r="L8" s="9"/>
      <c r="M8" s="9"/>
      <c r="N8" s="9"/>
      <c r="O8" s="9"/>
      <c r="P8" s="9"/>
      <c r="Q8" s="9"/>
      <c r="R8" s="9"/>
      <c r="S8" s="10"/>
      <c r="T8" s="9"/>
      <c r="U8" s="9"/>
      <c r="V8" s="9"/>
      <c r="W8" s="9"/>
      <c r="X8" s="9"/>
      <c r="Y8" s="9"/>
      <c r="Z8" s="9"/>
      <c r="AA8" s="10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</row>
    <row r="9" spans="1:91" ht="12.75">
      <c r="A9" t="s">
        <v>49</v>
      </c>
      <c r="B9" s="5" t="s">
        <v>13</v>
      </c>
      <c r="C9" s="2"/>
      <c r="D9" s="18">
        <v>42.3</v>
      </c>
      <c r="E9" s="18"/>
      <c r="F9" s="57"/>
      <c r="G9" s="57"/>
      <c r="H9" s="56"/>
      <c r="I9" s="56"/>
      <c r="J9" s="9"/>
      <c r="K9" s="10"/>
      <c r="L9" s="9"/>
      <c r="M9" s="9"/>
      <c r="N9" s="9"/>
      <c r="O9" s="9"/>
      <c r="P9" s="9"/>
      <c r="Q9" s="9"/>
      <c r="R9" s="9"/>
      <c r="S9" s="10"/>
      <c r="T9" s="9"/>
      <c r="U9" s="9"/>
      <c r="V9" s="9"/>
      <c r="W9" s="9"/>
      <c r="X9" s="9"/>
      <c r="Y9" s="9"/>
      <c r="Z9" s="9"/>
      <c r="AA9" s="10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</row>
    <row r="10" spans="1:91" ht="12.75">
      <c r="A10" t="s">
        <v>14</v>
      </c>
      <c r="B10" s="5" t="s">
        <v>15</v>
      </c>
      <c r="C10" s="2"/>
      <c r="D10" s="13">
        <f>COS(RADIANS(D9))*COS(RADIANS(D8))</f>
        <v>0.07089049888558216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</row>
    <row r="11" spans="1:91" ht="12.75">
      <c r="A11" t="s">
        <v>16</v>
      </c>
      <c r="B11" s="5" t="s">
        <v>17</v>
      </c>
      <c r="C11" s="2"/>
      <c r="D11" s="15">
        <f>(COS(RADIANS(D9)))*(SIN(RADIANS(D8)))</f>
        <v>-0.7362259801358619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</row>
    <row r="12" spans="1:91" ht="13.5" thickBot="1">
      <c r="A12" t="s">
        <v>18</v>
      </c>
      <c r="B12" s="5" t="s">
        <v>19</v>
      </c>
      <c r="C12" s="2"/>
      <c r="D12" s="16">
        <f>SIN(RADIANS(D9))</f>
        <v>0.6730125135097733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</row>
    <row r="13" spans="1:91" ht="12.75">
      <c r="A13" t="s">
        <v>20</v>
      </c>
      <c r="B13" s="5" t="s">
        <v>21</v>
      </c>
      <c r="C13" s="18">
        <f>SQRT(POWER(SUM(D10:BS10),2)+(POWER(SUM(D11:BS11),2))+(POWER(SUM(D12:BS12),2)))</f>
        <v>1</v>
      </c>
      <c r="D13" s="3"/>
      <c r="E13" s="3"/>
      <c r="F13" s="3"/>
      <c r="G13" s="7"/>
      <c r="H13" s="7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</row>
    <row r="14" spans="1:91" ht="12.75">
      <c r="A14" t="s">
        <v>22</v>
      </c>
      <c r="B14" s="5" t="s">
        <v>23</v>
      </c>
      <c r="C14">
        <f>SUM(D10:BS10)/$C13</f>
        <v>0.07089049888558216</v>
      </c>
      <c r="D14" s="3"/>
      <c r="E14" s="3"/>
      <c r="F14" s="3"/>
      <c r="G14" s="19" t="s">
        <v>24</v>
      </c>
      <c r="H14" s="19" t="s">
        <v>25</v>
      </c>
      <c r="I14" s="20" t="s">
        <v>26</v>
      </c>
      <c r="J14" s="21" t="s">
        <v>27</v>
      </c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</row>
    <row r="15" spans="1:91" ht="12.75">
      <c r="A15" t="s">
        <v>32</v>
      </c>
      <c r="B15" s="5" t="s">
        <v>33</v>
      </c>
      <c r="C15">
        <f>SUM(D11:BS11)/$C13</f>
        <v>-0.7362259801358619</v>
      </c>
      <c r="D15" s="3"/>
      <c r="E15" s="3"/>
      <c r="F15" s="3"/>
      <c r="G15" s="22">
        <f>C18</f>
        <v>275.5</v>
      </c>
      <c r="H15" s="23">
        <f>DEGREES(ASIN(C16))</f>
        <v>42.300000000000004</v>
      </c>
      <c r="I15" s="23" t="e">
        <f>($C4-1)/($C4-$C13)</f>
        <v>#DIV/0!</v>
      </c>
      <c r="J15" s="23" t="e">
        <f>DEGREES(ACOS(1-((($C4-$C13)/$C13)*((POWER(20,1/($C4-1))-1)))))</f>
        <v>#DIV/0!</v>
      </c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</row>
    <row r="16" spans="1:91" ht="12.75">
      <c r="A16" t="s">
        <v>34</v>
      </c>
      <c r="B16" s="5" t="s">
        <v>6</v>
      </c>
      <c r="C16">
        <f>SUM(D12:BS12)/$C13</f>
        <v>0.6730125135097733</v>
      </c>
      <c r="D16" s="3"/>
      <c r="E16" s="3"/>
      <c r="J16" s="2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</row>
    <row r="17" spans="2:91" ht="12.75">
      <c r="B17" s="26"/>
      <c r="C17" s="47">
        <f>DEGREES(ATAN2(C14,C15))</f>
        <v>-84.5</v>
      </c>
      <c r="D17" s="46"/>
      <c r="E17" s="45"/>
      <c r="F17" s="27"/>
      <c r="H17" s="28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</row>
    <row r="18" spans="1:91" ht="12.75">
      <c r="A18" t="s">
        <v>35</v>
      </c>
      <c r="B18" s="26" t="s">
        <v>36</v>
      </c>
      <c r="C18" s="49">
        <f>IF(C17&lt;0,C17+360,C17)</f>
        <v>275.5</v>
      </c>
      <c r="D18" s="46"/>
      <c r="E18" s="45"/>
      <c r="F18" s="27"/>
      <c r="G18" s="19" t="s">
        <v>28</v>
      </c>
      <c r="H18" s="19" t="s">
        <v>29</v>
      </c>
      <c r="I18" s="21" t="s">
        <v>30</v>
      </c>
      <c r="J18" s="19" t="s">
        <v>31</v>
      </c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</row>
    <row r="19" spans="1:12" ht="12.75">
      <c r="A19" t="s">
        <v>37</v>
      </c>
      <c r="B19" s="26" t="s">
        <v>38</v>
      </c>
      <c r="C19" s="29">
        <f>DEGREES(ASIN(C16))</f>
        <v>42.300000000000004</v>
      </c>
      <c r="D19" s="3"/>
      <c r="E19" s="3"/>
      <c r="F19" s="12"/>
      <c r="G19" s="23">
        <f>C28</f>
        <v>23.646680854410935</v>
      </c>
      <c r="H19" s="23">
        <f>C35</f>
        <v>56.47554789638579</v>
      </c>
      <c r="I19" s="23" t="e">
        <f>C21*((1+(3*(POWER(COS(RADIANS(C22)),2))))/2)</f>
        <v>#DIV/0!</v>
      </c>
      <c r="J19" s="23" t="e">
        <f>C21*(SIN(RADIANS(C22))/COS(RADIANS(C19)))</f>
        <v>#DIV/0!</v>
      </c>
      <c r="K19" s="9"/>
      <c r="L19" s="9"/>
    </row>
    <row r="20" spans="1:13" ht="12.75">
      <c r="A20" t="s">
        <v>39</v>
      </c>
      <c r="B20" s="26" t="s">
        <v>26</v>
      </c>
      <c r="C20" s="29" t="e">
        <f>($C4-1)/($C4-$C13)</f>
        <v>#DIV/0!</v>
      </c>
      <c r="D20" s="3"/>
      <c r="E20" s="3"/>
      <c r="G20" s="25">
        <f>-G19</f>
        <v>-23.646680854410935</v>
      </c>
      <c r="H20" s="23">
        <f>IF(H19-180&lt;0,H19+180,H19-180)</f>
        <v>236.4755478963858</v>
      </c>
      <c r="K20" s="30"/>
      <c r="L20" s="31"/>
      <c r="M20" s="31"/>
    </row>
    <row r="21" spans="1:13" ht="12.75">
      <c r="A21" t="s">
        <v>40</v>
      </c>
      <c r="B21" s="32" t="s">
        <v>41</v>
      </c>
      <c r="C21" s="33" t="e">
        <f>DEGREES(ACOS(1-((($C4-$C13)/$C13)*((POWER(20,1/($C4-1))-1)))))</f>
        <v>#DIV/0!</v>
      </c>
      <c r="D21" s="3"/>
      <c r="E21" s="3"/>
      <c r="G21" s="28"/>
      <c r="H21" s="23"/>
      <c r="I21" s="9"/>
      <c r="J21" s="25"/>
      <c r="K21" s="30"/>
      <c r="L21" s="31"/>
      <c r="M21" s="31"/>
    </row>
    <row r="22" spans="1:17" ht="12.75">
      <c r="A22" s="50" t="s">
        <v>42</v>
      </c>
      <c r="B22" s="5" t="s">
        <v>43</v>
      </c>
      <c r="C22" s="34">
        <f>DEGREES(ATAN(2/TAN(RADIANS(C19))))</f>
        <v>65.5361265926428</v>
      </c>
      <c r="D22" s="3"/>
      <c r="E22" s="3"/>
      <c r="F22" s="12"/>
      <c r="G22" s="28"/>
      <c r="H22" s="9"/>
      <c r="I22" s="9"/>
      <c r="J22" s="25"/>
      <c r="K22" s="30"/>
      <c r="L22" s="31"/>
      <c r="M22" s="31"/>
      <c r="N22" s="35"/>
      <c r="O22" s="36"/>
      <c r="P22" s="36"/>
      <c r="Q22" s="25"/>
    </row>
    <row r="23" spans="1:17" ht="12.75">
      <c r="A23" t="s">
        <v>51</v>
      </c>
      <c r="B23" s="5" t="s">
        <v>43</v>
      </c>
      <c r="C23" s="34">
        <f>IF(C22&lt;0,C22+180,C22)</f>
        <v>65.5361265926428</v>
      </c>
      <c r="D23" s="41"/>
      <c r="E23" s="42"/>
      <c r="F23" s="39"/>
      <c r="G23" s="28"/>
      <c r="H23" s="9"/>
      <c r="I23" s="9"/>
      <c r="J23" s="25"/>
      <c r="K23" s="30"/>
      <c r="L23" s="31"/>
      <c r="M23" s="31"/>
      <c r="N23" s="38"/>
      <c r="O23" s="25"/>
      <c r="P23" s="25"/>
      <c r="Q23" s="25"/>
    </row>
    <row r="24" spans="1:17" ht="12.75">
      <c r="A24" t="s">
        <v>52</v>
      </c>
      <c r="B24" s="5"/>
      <c r="C24" s="48">
        <f>((SIN(RADIANS(C2))*COS(RADIANS(C23)))+(COS(RADIANS(C2))*SIN(RADIANS(C23))*COS(RADIANS(C18))))</f>
        <v>0.40109549202841127</v>
      </c>
      <c r="D24" s="41"/>
      <c r="E24" s="43"/>
      <c r="F24" s="44"/>
      <c r="G24" s="28"/>
      <c r="H24" s="9"/>
      <c r="I24" s="9"/>
      <c r="J24" s="25"/>
      <c r="K24" s="30"/>
      <c r="N24" s="38"/>
      <c r="O24" s="25"/>
      <c r="P24" s="25"/>
      <c r="Q24" s="25"/>
    </row>
    <row r="25" spans="1:17" ht="12.75">
      <c r="A25" t="s">
        <v>53</v>
      </c>
      <c r="B25" s="5"/>
      <c r="C25" s="48">
        <f>IF(C24&lt;-0.99,-0.988,C24)</f>
        <v>0.40109549202841127</v>
      </c>
      <c r="D25" s="3"/>
      <c r="E25" s="3"/>
      <c r="F25" s="3"/>
      <c r="G25" s="28"/>
      <c r="H25" s="9"/>
      <c r="I25" s="9"/>
      <c r="J25" s="25"/>
      <c r="K25" s="30"/>
      <c r="L25" s="31"/>
      <c r="M25" s="31"/>
      <c r="N25" s="38"/>
      <c r="Q25" s="25"/>
    </row>
    <row r="26" spans="1:17" ht="12.75">
      <c r="A26" t="s">
        <v>54</v>
      </c>
      <c r="B26" s="5"/>
      <c r="C26" s="48">
        <f>IF(C25&gt;0.99,0.988,C24)</f>
        <v>0.40109549202841127</v>
      </c>
      <c r="D26" s="3"/>
      <c r="E26" s="3"/>
      <c r="F26" s="3"/>
      <c r="G26" s="28"/>
      <c r="H26" s="9"/>
      <c r="I26" s="9"/>
      <c r="J26" s="25"/>
      <c r="K26" s="30"/>
      <c r="L26" s="25"/>
      <c r="M26" s="25"/>
      <c r="N26" s="38"/>
      <c r="O26" s="25"/>
      <c r="P26" s="25"/>
      <c r="Q26" s="25"/>
    </row>
    <row r="27" spans="2:17" ht="12.75">
      <c r="B27" s="5"/>
      <c r="C27" s="34"/>
      <c r="G27" s="28"/>
      <c r="H27" s="10"/>
      <c r="I27" s="10"/>
      <c r="J27" s="38"/>
      <c r="M27" s="25"/>
      <c r="N27" s="38"/>
      <c r="Q27" s="25"/>
    </row>
    <row r="28" spans="1:3" ht="12.75">
      <c r="A28" t="s">
        <v>44</v>
      </c>
      <c r="B28" s="37" t="s">
        <v>28</v>
      </c>
      <c r="C28" s="51">
        <f>DEGREES(ATAN(C26/SQRT(-C26*C26+1)))</f>
        <v>23.646680854410935</v>
      </c>
    </row>
    <row r="29" spans="1:3" ht="12.75">
      <c r="A29" t="s">
        <v>55</v>
      </c>
      <c r="C29" s="52">
        <f>SIN(RADIANS(C23))*SIN(RADIANS(C18))/COS(RADIANS(C28))</f>
        <v>-0.9890788538746647</v>
      </c>
    </row>
    <row r="30" ht="12.75">
      <c r="C30" s="52">
        <f>IF(C29&gt;0.99,0.99,C29)</f>
        <v>-0.9890788538746647</v>
      </c>
    </row>
    <row r="31" ht="12.75">
      <c r="C31" s="52">
        <f>IF(C30&lt;-0.99,-0.988,C30)</f>
        <v>-0.9890788538746647</v>
      </c>
    </row>
    <row r="32" spans="1:3" ht="12.75">
      <c r="A32" s="2" t="s">
        <v>45</v>
      </c>
      <c r="B32" s="4" t="s">
        <v>45</v>
      </c>
      <c r="C32" s="53">
        <f>DEGREES(ATAN(C31/(SQRT((-C31*C31)+1))))</f>
        <v>-81.52445210361421</v>
      </c>
    </row>
    <row r="33" spans="1:3" ht="12.75">
      <c r="A33" t="s">
        <v>53</v>
      </c>
      <c r="C33" s="54">
        <f>IF(COS(RADIANS(C23))&lt;SIN(RADIANS(C2))*SIN(RADIANS(C28)),C3+180-C32,C3+C32)</f>
        <v>56.47554789638579</v>
      </c>
    </row>
    <row r="34" spans="1:3" ht="12.75">
      <c r="A34" t="s">
        <v>54</v>
      </c>
      <c r="B34" s="37"/>
      <c r="C34" s="40">
        <f>IF(C33&gt;360,C33-360,C33)</f>
        <v>56.47554789638579</v>
      </c>
    </row>
    <row r="35" spans="1:3" ht="12.75">
      <c r="A35" t="s">
        <v>46</v>
      </c>
      <c r="B35" s="37" t="s">
        <v>29</v>
      </c>
      <c r="C35" s="55">
        <f>IF(C34&lt;0,C34+360,C34)</f>
        <v>56.47554789638579</v>
      </c>
    </row>
    <row r="36" ht="12.75">
      <c r="C36" s="40"/>
    </row>
    <row r="37" spans="1:3" ht="12.75">
      <c r="A37" t="s">
        <v>47</v>
      </c>
      <c r="B37" s="5" t="s">
        <v>30</v>
      </c>
      <c r="C37" s="29" t="e">
        <f>C21*((1+(3*(POWER(COS(RADIANS(C22)),2))))/2)</f>
        <v>#DIV/0!</v>
      </c>
    </row>
    <row r="38" spans="2:3" ht="12.75">
      <c r="B38" s="5" t="s">
        <v>31</v>
      </c>
      <c r="C38" s="29" t="e">
        <f>C21*(SIN(RADIANS(C22))/COS(RADIANS(C19)))</f>
        <v>#DIV/0!</v>
      </c>
    </row>
  </sheetData>
  <printOptions/>
  <pageMargins left="0.75" right="0.75" top="1" bottom="1" header="0.5" footer="0.5"/>
  <pageSetup fitToHeight="1" fitToWidth="1" horizontalDpi="300" verticalDpi="3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Ülikool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geoloogia instituut</dc:creator>
  <cp:keywords/>
  <dc:description/>
  <cp:lastModifiedBy>Fabio</cp:lastModifiedBy>
  <cp:lastPrinted>2003-04-04T10:17:24Z</cp:lastPrinted>
  <dcterms:created xsi:type="dcterms:W3CDTF">2002-04-23T10:21:33Z</dcterms:created>
  <dcterms:modified xsi:type="dcterms:W3CDTF">2006-03-24T15:18:27Z</dcterms:modified>
  <cp:category/>
  <cp:version/>
  <cp:contentType/>
  <cp:contentStatus/>
</cp:coreProperties>
</file>